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G\Documents\Laptop Documents\SCHOOL\MIT\Spring 2016\2.77 Precision Machine Design\PUPS_6\"/>
    </mc:Choice>
  </mc:AlternateContent>
  <bookViews>
    <workbookView xWindow="0" yWindow="60" windowWidth="28800" windowHeight="12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" l="1"/>
  <c r="J17" i="1" l="1"/>
  <c r="L17" i="1" s="1"/>
  <c r="B9" i="1"/>
  <c r="D9" i="1" s="1"/>
  <c r="L37" i="1" l="1"/>
  <c r="L38" i="1"/>
  <c r="L32" i="1"/>
  <c r="L31" i="1"/>
  <c r="B11" i="1" l="1"/>
  <c r="J16" i="1"/>
  <c r="J56" i="1"/>
  <c r="D4" i="1"/>
  <c r="V21" i="1" l="1"/>
  <c r="Y21" i="1"/>
  <c r="Y20" i="1"/>
  <c r="Y19" i="1"/>
  <c r="Q19" i="1"/>
  <c r="U19" i="1"/>
  <c r="T20" i="1"/>
  <c r="S21" i="1"/>
  <c r="R22" i="1"/>
  <c r="Q14" i="1"/>
  <c r="S14" i="1" s="1"/>
  <c r="U14" i="1" s="1"/>
  <c r="V18" i="1"/>
  <c r="X18" i="1" s="1"/>
  <c r="X21" i="1"/>
  <c r="X20" i="1"/>
  <c r="X19" i="1"/>
  <c r="Q15" i="1"/>
  <c r="R15" i="1" s="1"/>
  <c r="Q17" i="1"/>
  <c r="S17" i="1" s="1"/>
  <c r="R19" i="1"/>
  <c r="Q20" i="1"/>
  <c r="U20" i="1"/>
  <c r="T21" i="1"/>
  <c r="S22" i="1"/>
  <c r="V19" i="1"/>
  <c r="Z22" i="1"/>
  <c r="W21" i="1"/>
  <c r="W20" i="1"/>
  <c r="W19" i="1"/>
  <c r="Q16" i="1"/>
  <c r="S16" i="1" s="1"/>
  <c r="S19" i="1"/>
  <c r="R20" i="1"/>
  <c r="Q21" i="1"/>
  <c r="U21" i="1"/>
  <c r="T22" i="1"/>
  <c r="V20" i="1"/>
  <c r="Z21" i="1"/>
  <c r="Z20" i="1"/>
  <c r="Z19" i="1"/>
  <c r="Q18" i="1"/>
  <c r="R18" i="1" s="1"/>
  <c r="T19" i="1"/>
  <c r="S20" i="1"/>
  <c r="R21" i="1"/>
  <c r="Q22" i="1"/>
  <c r="U22" i="1"/>
  <c r="B27" i="1"/>
  <c r="B28" i="1"/>
  <c r="B29" i="1"/>
  <c r="B30" i="1"/>
  <c r="B12" i="1"/>
  <c r="B13" i="1"/>
  <c r="D20" i="1"/>
  <c r="D17" i="1"/>
  <c r="B18" i="1"/>
  <c r="D18" i="1" s="1"/>
  <c r="W18" i="1" l="1"/>
  <c r="R17" i="1"/>
  <c r="T14" i="1"/>
  <c r="T15" i="1" s="1"/>
  <c r="R16" i="1"/>
  <c r="S18" i="1"/>
  <c r="S15" i="1"/>
  <c r="U15" i="1" s="1"/>
  <c r="U16" i="1" s="1"/>
  <c r="U17" i="1" s="1"/>
  <c r="J29" i="1"/>
  <c r="L29" i="1" s="1"/>
  <c r="L67" i="1"/>
  <c r="L63" i="1"/>
  <c r="L60" i="1"/>
  <c r="L57" i="1"/>
  <c r="J48" i="1"/>
  <c r="L48" i="1" s="1"/>
  <c r="L47" i="1"/>
  <c r="J15" i="1"/>
  <c r="L14" i="1"/>
  <c r="U18" i="1" l="1"/>
  <c r="T16" i="1"/>
  <c r="T17" i="1" s="1"/>
  <c r="T18" i="1" s="1"/>
  <c r="J20" i="1"/>
  <c r="L20" i="1" s="1"/>
  <c r="J19" i="1"/>
  <c r="L15" i="1"/>
  <c r="V17" i="1" l="1"/>
  <c r="V14" i="1"/>
  <c r="V15" i="1"/>
  <c r="V16" i="1"/>
  <c r="B21" i="1"/>
  <c r="B22" i="1" s="1"/>
  <c r="B23" i="1" s="1"/>
  <c r="B24" i="1" s="1"/>
  <c r="B25" i="1" s="1"/>
  <c r="B26" i="1" s="1"/>
  <c r="D6" i="1"/>
  <c r="D5" i="1"/>
  <c r="D7" i="1"/>
  <c r="D8" i="1"/>
  <c r="D15" i="1"/>
  <c r="D16" i="1"/>
  <c r="D19" i="1"/>
  <c r="W17" i="1" l="1"/>
  <c r="X17" i="1"/>
  <c r="W16" i="1"/>
  <c r="X16" i="1"/>
  <c r="W15" i="1"/>
  <c r="X15" i="1"/>
  <c r="X14" i="1"/>
  <c r="Z14" i="1" s="1"/>
  <c r="W14" i="1"/>
  <c r="Y14" i="1" s="1"/>
  <c r="J25" i="1"/>
  <c r="D21" i="1"/>
  <c r="Y15" i="1" l="1"/>
  <c r="Y16" i="1" s="1"/>
  <c r="Y17" i="1" s="1"/>
  <c r="Y18" i="1" s="1"/>
  <c r="Z15" i="1"/>
  <c r="Z16" i="1" s="1"/>
  <c r="Z17" i="1" s="1"/>
  <c r="Z18" i="1" s="1"/>
  <c r="J26" i="1"/>
  <c r="L26" i="1" s="1"/>
  <c r="L25" i="1"/>
  <c r="L54" i="1"/>
  <c r="L58" i="1" s="1"/>
  <c r="J58" i="1" s="1"/>
  <c r="J59" i="1" s="1"/>
  <c r="J28" i="1" l="1"/>
  <c r="J27" i="1"/>
  <c r="L27" i="1" s="1"/>
  <c r="L28" i="1"/>
  <c r="L39" i="1" s="1"/>
  <c r="L41" i="1"/>
  <c r="J41" i="1" s="1"/>
  <c r="L35" i="1"/>
  <c r="J35" i="1" s="1"/>
  <c r="L55" i="1"/>
  <c r="L68" i="1"/>
  <c r="L59" i="1"/>
  <c r="N39" i="1" l="1"/>
  <c r="L42" i="1"/>
  <c r="L40" i="1"/>
  <c r="J68" i="1"/>
  <c r="D29" i="1"/>
  <c r="D30" i="1"/>
  <c r="D27" i="1"/>
  <c r="D28" i="1"/>
  <c r="D26" i="1"/>
  <c r="J13" i="1"/>
  <c r="L69" i="1" s="1"/>
  <c r="J69" i="1" s="1"/>
  <c r="J46" i="1"/>
  <c r="J49" i="1" s="1"/>
  <c r="L49" i="1" s="1"/>
  <c r="N40" i="1" l="1"/>
  <c r="J40" i="1"/>
  <c r="D22" i="1"/>
  <c r="J18" i="1"/>
  <c r="L18" i="1" s="1"/>
  <c r="L16" i="1"/>
  <c r="D23" i="1"/>
  <c r="D12" i="1"/>
  <c r="L56" i="1"/>
  <c r="D13" i="1"/>
  <c r="D24" i="1" l="1"/>
  <c r="D25" i="1"/>
  <c r="L61" i="1"/>
  <c r="L64" i="1"/>
  <c r="J21" i="1"/>
  <c r="L21" i="1" s="1"/>
  <c r="L19" i="1"/>
  <c r="L33" i="1" l="1"/>
  <c r="L36" i="1" s="1"/>
  <c r="J64" i="1"/>
  <c r="L65" i="1"/>
  <c r="L62" i="1"/>
  <c r="J61" i="1"/>
  <c r="N33" i="1" l="1"/>
  <c r="L34" i="1"/>
  <c r="J62" i="1"/>
  <c r="L71" i="1"/>
  <c r="J71" i="1" s="1"/>
  <c r="L72" i="1"/>
  <c r="J72" i="1" s="1"/>
  <c r="J65" i="1"/>
  <c r="J34" i="1" l="1"/>
  <c r="N34" i="1"/>
</calcChain>
</file>

<file path=xl/comments1.xml><?xml version="1.0" encoding="utf-8"?>
<comments xmlns="http://schemas.openxmlformats.org/spreadsheetml/2006/main">
  <authors>
    <author>PG</author>
  </authors>
  <commentList>
    <comment ref="I15" authorId="0" shapeId="0">
      <text>
        <r>
          <rPr>
            <b/>
            <sz val="9"/>
            <color indexed="81"/>
            <rFont val="Tahoma"/>
            <family val="2"/>
          </rPr>
          <t>PG:</t>
        </r>
        <r>
          <rPr>
            <sz val="9"/>
            <color indexed="81"/>
            <rFont val="Tahoma"/>
            <family val="2"/>
          </rPr>
          <t xml:space="preserve">
I haven't given it the full mathematical treatment, but playing around in CAD gave me the 0.6 factor (for a standard 60° thread angle).</t>
        </r>
      </text>
    </comment>
  </commentList>
</comments>
</file>

<file path=xl/sharedStrings.xml><?xml version="1.0" encoding="utf-8"?>
<sst xmlns="http://schemas.openxmlformats.org/spreadsheetml/2006/main" count="252" uniqueCount="128">
  <si>
    <t>Desired Stroke Length</t>
  </si>
  <si>
    <t>Thread Overlap</t>
  </si>
  <si>
    <t>Stop Flange Length</t>
  </si>
  <si>
    <t>Minimum Required Stages</t>
  </si>
  <si>
    <t>Minimum Acceptable Wall Thickness</t>
  </si>
  <si>
    <t>in</t>
  </si>
  <si>
    <t>mm</t>
  </si>
  <si>
    <t>Actual Stroke Length</t>
  </si>
  <si>
    <t>Stage 1 Diameter (smallest)</t>
  </si>
  <si>
    <t>Stage 2 Diameter</t>
  </si>
  <si>
    <t>Stage 3 Diameter</t>
  </si>
  <si>
    <t>Stage 4 Diameter</t>
  </si>
  <si>
    <t>Stage 5 Diameter</t>
  </si>
  <si>
    <t>Stage 6 Diameter</t>
  </si>
  <si>
    <t>Stage 7 Diameter</t>
  </si>
  <si>
    <t>Stage 8 Diameter</t>
  </si>
  <si>
    <t>Stage 9 Diameter</t>
  </si>
  <si>
    <t>Stage 10 Diameter</t>
  </si>
  <si>
    <t>stages</t>
  </si>
  <si>
    <t>Smallest Possible Stage (Thread OD)</t>
  </si>
  <si>
    <t>1. Gravity-induced "sag" Abbe errors in the z-axis from small dimensional differences in the mating threads (at each stage)</t>
  </si>
  <si>
    <t>2. Backlash or "slop" errors in the x-axis from small dimensional differences in the mating threads (at each stage)</t>
  </si>
  <si>
    <t>The two big positioning errors I am conerned with are:</t>
  </si>
  <si>
    <t>The big twisting error I am worried about is:</t>
  </si>
  <si>
    <t>1. Roll errors about the x-axis if the screw torque overcomes the rotational/torsional stiffness of the shell (Concept #1) or is mismatched to torque produced by the opposite screw actuator (Concept #2)</t>
  </si>
  <si>
    <t>There are two main types of errors that I anticipate encountering in this mechanism: positioning errors (from the non-perfectness of the screw actuator), and twisting errors (from the torque induced by the rotation of the screw actuator).</t>
  </si>
  <si>
    <t>Male-Female Diameter Difference</t>
  </si>
  <si>
    <t>Number of Sag Joints</t>
  </si>
  <si>
    <t>Total Sag (worst case - shaft approx.)</t>
  </si>
  <si>
    <t>Total Sag (screw approx.)</t>
  </si>
  <si>
    <t>Sag Angle (worst case - shaft approx.)</t>
  </si>
  <si>
    <t>Sag Angle (screw approx.)</t>
  </si>
  <si>
    <t>degrees</t>
  </si>
  <si>
    <t>rad</t>
  </si>
  <si>
    <t>Effective Diameter Difference (screw approx.)</t>
  </si>
  <si>
    <t>joints</t>
  </si>
  <si>
    <t>Max Possible Slop Per Joint</t>
  </si>
  <si>
    <t>Maximum Total Slop</t>
  </si>
  <si>
    <t>Sag Errors At Full Extension (negative z-axis)</t>
  </si>
  <si>
    <t>Sag Per Stage (worst case - shaft approx.)</t>
  </si>
  <si>
    <t>Sag Per Stage (screw approx.)</t>
  </si>
  <si>
    <t>Additional Stop Flange Width</t>
  </si>
  <si>
    <t>N</t>
  </si>
  <si>
    <t>m</t>
  </si>
  <si>
    <t>Nm</t>
  </si>
  <si>
    <t>Motor Pull-In/Out Torque</t>
  </si>
  <si>
    <t>these are guesses from &lt;http://reprap.org/wiki/Stepper_torque&gt; and &lt;http://www.pbclinear.com/Download/DataSheet/Stepper-Motor-Support-Document.pdf&gt;</t>
  </si>
  <si>
    <t>Max Possible Shell Diameter</t>
  </si>
  <si>
    <t>Shell Stage Length</t>
  </si>
  <si>
    <t>Shell Stage Wall Thickness</t>
  </si>
  <si>
    <t>Polar Moment of Inertia (J)</t>
  </si>
  <si>
    <t>m^4</t>
  </si>
  <si>
    <t>in^4</t>
  </si>
  <si>
    <t>Shell Inner Diameter</t>
  </si>
  <si>
    <t>Force Felt by Shell At Edge</t>
  </si>
  <si>
    <t>Rotation Angle Per Stage (6061 Aluminum)</t>
  </si>
  <si>
    <t>Rotation Angle Per Stage (304 Stainless Steel)</t>
  </si>
  <si>
    <t>Total Rotation (6061 Aluminum)</t>
  </si>
  <si>
    <t>Total Rotation (304 Stainless Steel)</t>
  </si>
  <si>
    <t>this is set by the standard dimensions of a CF4.5" flange</t>
  </si>
  <si>
    <t>this is probably thinner than would be used, but it gives conservative numbers</t>
  </si>
  <si>
    <t>Stage Connection Key Slop</t>
  </si>
  <si>
    <t>Rotation From Each Key Slop</t>
  </si>
  <si>
    <t>Total Key Slop Rotation</t>
  </si>
  <si>
    <t>Total Rotation Of Shell (6061 Aluminum)</t>
  </si>
  <si>
    <t>Total Rotation Of Shell (304 Stainless Steel)</t>
  </si>
  <si>
    <t>Shell Twist Errors (roll about x-axis)</t>
  </si>
  <si>
    <t>N/m^2</t>
  </si>
  <si>
    <t>Tube OD</t>
  </si>
  <si>
    <t>Tube ID</t>
  </si>
  <si>
    <t>Wall Thickness</t>
  </si>
  <si>
    <t>Moment of Inertia</t>
  </si>
  <si>
    <t>Length</t>
  </si>
  <si>
    <t>N/um</t>
  </si>
  <si>
    <t>Force Applied</t>
  </si>
  <si>
    <t>Hz</t>
  </si>
  <si>
    <t>Threads Per Inch</t>
  </si>
  <si>
    <t>Thread Height</t>
  </si>
  <si>
    <t>tpi</t>
  </si>
  <si>
    <t>tpmm</t>
  </si>
  <si>
    <t>Stop Flange Clearance</t>
  </si>
  <si>
    <t>Desired Stage Length</t>
  </si>
  <si>
    <t>Actual Retracted Length</t>
  </si>
  <si>
    <t>Per Stage Overlap (when retracted)</t>
  </si>
  <si>
    <t>Bending Errors (negative z-axis)</t>
  </si>
  <si>
    <t>Elastic Modulus (6061 Aluminum)</t>
  </si>
  <si>
    <t>Modulus of Rigidity (G) (6061 Aluminum)</t>
  </si>
  <si>
    <t>Modulus of Rigidity (G) (304 Stainless Steel)</t>
  </si>
  <si>
    <t>Elastic Modulus (304 Stainless Steel)</t>
  </si>
  <si>
    <t>Stiffness (k) (304 Stainless Steel)</t>
  </si>
  <si>
    <t>Deflection (δ) (304 Stainless Steel)</t>
  </si>
  <si>
    <t>Mass density (304 Stainless Steel)</t>
  </si>
  <si>
    <t>Resonant Frequency (304 Stainless Steel)</t>
  </si>
  <si>
    <t>Stiffness (k) (6061 Aluminum)</t>
  </si>
  <si>
    <t>Deflection (δ) (6061 Aluminum)</t>
  </si>
  <si>
    <t>Mass density (6061 Aluminum)</t>
  </si>
  <si>
    <t>Resonant Frequency (6061 Aluminum)</t>
  </si>
  <si>
    <t>mm^4</t>
  </si>
  <si>
    <t>N/mm^2</t>
  </si>
  <si>
    <t>N/mm</t>
  </si>
  <si>
    <t>kg/mm^3</t>
  </si>
  <si>
    <t>Mass (6061 Aluminum)</t>
  </si>
  <si>
    <t>Mass (304 Stainless Steel)</t>
  </si>
  <si>
    <t>kg</t>
  </si>
  <si>
    <t>um</t>
  </si>
  <si>
    <t>lbs</t>
  </si>
  <si>
    <t>So, compared to the sag errors, the bending errors are insignificant</t>
  </si>
  <si>
    <r>
      <t>Slop Errors (</t>
    </r>
    <r>
      <rPr>
        <b/>
        <u/>
        <sz val="12"/>
        <color theme="1"/>
        <rFont val="Calibri"/>
        <family val="2"/>
      </rPr>
      <t>±</t>
    </r>
    <r>
      <rPr>
        <b/>
        <u/>
        <sz val="12"/>
        <color theme="1"/>
        <rFont val="Calibri"/>
        <family val="2"/>
        <scheme val="minor"/>
      </rPr>
      <t xml:space="preserve"> x-axis)</t>
    </r>
  </si>
  <si>
    <t>This is the smallest segment, so the worst case for bending</t>
  </si>
  <si>
    <t>PUPS 6</t>
  </si>
  <si>
    <t>Fixture</t>
  </si>
  <si>
    <t>Effective Stage Length</t>
  </si>
  <si>
    <t>Biggest Stage</t>
  </si>
  <si>
    <t>Next Smallest</t>
  </si>
  <si>
    <t>Smallest Stage</t>
  </si>
  <si>
    <t>..</t>
  </si>
  <si>
    <t>Next Biggest</t>
  </si>
  <si>
    <t>Screw Approximation</t>
  </si>
  <si>
    <t>Shaft Approximation</t>
  </si>
  <si>
    <t>Joint</t>
  </si>
  <si>
    <t>Angle (radians)</t>
  </si>
  <si>
    <t>∆z</t>
  </si>
  <si>
    <r>
      <t>∆</t>
    </r>
    <r>
      <rPr>
        <b/>
        <sz val="9.35"/>
        <color theme="1"/>
        <rFont val="Calibri"/>
        <family val="2"/>
      </rPr>
      <t>x</t>
    </r>
  </si>
  <si>
    <t>x</t>
  </si>
  <si>
    <t>z</t>
  </si>
  <si>
    <t xml:space="preserve">If we imagine the keying between each stage of the shell to be a simple protusion and recess system, </t>
  </si>
  <si>
    <t>there will be some rotational slop from that keying, primarily from dimensional differences in the fabrication</t>
  </si>
  <si>
    <t>Screw-Based Telescoping Wafer Transfer Mechanism Dimensioning and Error Budgeting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</si>
</sst>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sz val="9.35"/>
      <color theme="1"/>
      <name val="Calibri"/>
      <family val="2"/>
    </font>
    <font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0" fillId="0" borderId="0" xfId="0" applyFont="1" applyFill="1"/>
    <xf numFmtId="0" fontId="2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Sheet1!$Q$10</c:f>
              <c:strCache>
                <c:ptCount val="1"/>
                <c:pt idx="0">
                  <c:v>Shaft Approximation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Sheet1!$T$12:$T$17</c:f>
              <c:numCache>
                <c:formatCode>General</c:formatCode>
                <c:ptCount val="6"/>
                <c:pt idx="0">
                  <c:v>0</c:v>
                </c:pt>
                <c:pt idx="1">
                  <c:v>3.3</c:v>
                </c:pt>
                <c:pt idx="2">
                  <c:v>5.8499681248007782</c:v>
                </c:pt>
                <c:pt idx="3">
                  <c:v>8.3998406248007775</c:v>
                </c:pt>
                <c:pt idx="4">
                  <c:v>10.949553752789075</c:v>
                </c:pt>
                <c:pt idx="5">
                  <c:v>13.499043765539074</c:v>
                </c:pt>
              </c:numCache>
            </c:numRef>
          </c:xVal>
          <c:yVal>
            <c:numRef>
              <c:f>Sheet1!$U$12:$U$17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-1.2749999999999999E-2</c:v>
                </c:pt>
                <c:pt idx="3">
                  <c:v>-3.8249681248007789E-2</c:v>
                </c:pt>
                <c:pt idx="4">
                  <c:v>-7.6498406248007786E-2</c:v>
                </c:pt>
                <c:pt idx="5">
                  <c:v>-0.12749521877589856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761-46ED-8F15-EF193C86842C}"/>
            </c:ext>
          </c:extLst>
        </c:ser>
        <c:ser>
          <c:idx val="1"/>
          <c:order val="1"/>
          <c:tx>
            <c:strRef>
              <c:f>Sheet1!$V$10</c:f>
              <c:strCache>
                <c:ptCount val="1"/>
                <c:pt idx="0">
                  <c:v>Screw Approximation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Sheet1!$Y$12:$Y$17</c:f>
              <c:numCache>
                <c:formatCode>General</c:formatCode>
                <c:ptCount val="6"/>
                <c:pt idx="0">
                  <c:v>0</c:v>
                </c:pt>
                <c:pt idx="1">
                  <c:v>3.3</c:v>
                </c:pt>
                <c:pt idx="2">
                  <c:v>5.8499885249741812</c:v>
                </c:pt>
                <c:pt idx="3">
                  <c:v>8.3999426249741802</c:v>
                </c:pt>
                <c:pt idx="4">
                  <c:v>10.949839350361461</c:v>
                </c:pt>
                <c:pt idx="5">
                  <c:v>13.499655752013862</c:v>
                </c:pt>
              </c:numCache>
            </c:numRef>
          </c:xVal>
          <c:yVal>
            <c:numRef>
              <c:f>Sheet1!$Z$12:$Z$17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-7.6499999999999971E-3</c:v>
                </c:pt>
                <c:pt idx="3">
                  <c:v>-2.2949931149845081E-2</c:v>
                </c:pt>
                <c:pt idx="4">
                  <c:v>-4.5899655749845072E-2</c:v>
                </c:pt>
                <c:pt idx="5">
                  <c:v>-7.6498967252013841E-2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761-46ED-8F15-EF193C868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34400"/>
        <c:axId val="94483584"/>
      </c:scatterChart>
      <c:valAx>
        <c:axId val="4053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X-axis Extension (inches)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83584"/>
        <c:crosses val="autoZero"/>
        <c:crossBetween val="midCat"/>
      </c:valAx>
      <c:valAx>
        <c:axId val="9448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Z-axis Sag (inches)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34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7107044680157407"/>
          <c:y val="0.63509961736762366"/>
          <c:w val="0.29088537860665259"/>
          <c:h val="0.15625109361329836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106456</xdr:colOff>
      <xdr:row>17</xdr:row>
      <xdr:rowOff>141194</xdr:rowOff>
    </xdr:from>
    <xdr:to>
      <xdr:col>24</xdr:col>
      <xdr:colOff>534681</xdr:colOff>
      <xdr:row>32</xdr:row>
      <xdr:rowOff>13287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35.7109375" style="1" customWidth="1"/>
    <col min="2" max="2" width="9.140625" style="1"/>
    <col min="3" max="3" width="12" style="1" bestFit="1" customWidth="1"/>
    <col min="4" max="8" width="9.140625" style="1"/>
    <col min="9" max="9" width="42.140625" style="1" customWidth="1"/>
    <col min="10" max="10" width="9.140625" style="1" customWidth="1"/>
    <col min="11" max="11" width="9.140625" style="1"/>
    <col min="12" max="12" width="8.5703125" style="1" customWidth="1"/>
    <col min="13" max="14" width="9.140625" style="1"/>
    <col min="15" max="15" width="14.7109375" style="1" customWidth="1"/>
    <col min="16" max="16" width="9.140625" style="1"/>
    <col min="17" max="17" width="14.42578125" style="1" customWidth="1"/>
    <col min="18" max="18" width="9.140625" style="1"/>
    <col min="19" max="19" width="13.7109375" style="1" customWidth="1"/>
    <col min="20" max="21" width="9.140625" style="1"/>
    <col min="22" max="22" width="14.28515625" style="1" customWidth="1"/>
    <col min="23" max="16384" width="9.140625" style="1"/>
  </cols>
  <sheetData>
    <row r="1" spans="1:26" x14ac:dyDescent="0.25">
      <c r="A1" s="1" t="s">
        <v>127</v>
      </c>
    </row>
    <row r="2" spans="1:26" x14ac:dyDescent="0.25">
      <c r="A2" s="1" t="s">
        <v>109</v>
      </c>
    </row>
    <row r="3" spans="1:26" ht="37.5" customHeight="1" x14ac:dyDescent="0.25">
      <c r="I3" s="45" t="s">
        <v>25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  <c r="V3" s="2"/>
      <c r="W3" s="2"/>
      <c r="X3" s="2"/>
    </row>
    <row r="4" spans="1:26" x14ac:dyDescent="0.25">
      <c r="A4" s="3" t="s">
        <v>81</v>
      </c>
      <c r="B4" s="1">
        <v>3.05</v>
      </c>
      <c r="C4" s="1" t="s">
        <v>5</v>
      </c>
      <c r="D4" s="1">
        <f t="shared" ref="D4:D9" si="0">IFERROR(B4*25.4,0)</f>
        <v>77.469999999999985</v>
      </c>
      <c r="E4" s="1" t="s">
        <v>6</v>
      </c>
      <c r="I4" s="3" t="s">
        <v>22</v>
      </c>
    </row>
    <row r="5" spans="1:26" x14ac:dyDescent="0.25">
      <c r="A5" s="3" t="s">
        <v>83</v>
      </c>
      <c r="B5" s="1">
        <v>0.05</v>
      </c>
      <c r="C5" s="1" t="s">
        <v>5</v>
      </c>
      <c r="D5" s="1">
        <f t="shared" si="0"/>
        <v>1.27</v>
      </c>
      <c r="E5" s="1" t="s">
        <v>6</v>
      </c>
      <c r="I5" s="1" t="s">
        <v>20</v>
      </c>
    </row>
    <row r="6" spans="1:26" x14ac:dyDescent="0.25">
      <c r="A6" s="3" t="s">
        <v>0</v>
      </c>
      <c r="B6" s="1">
        <v>10</v>
      </c>
      <c r="C6" s="1" t="s">
        <v>5</v>
      </c>
      <c r="D6" s="1">
        <f t="shared" si="0"/>
        <v>254</v>
      </c>
      <c r="E6" s="1" t="s">
        <v>6</v>
      </c>
      <c r="I6" s="1" t="s">
        <v>21</v>
      </c>
    </row>
    <row r="7" spans="1:26" x14ac:dyDescent="0.25">
      <c r="A7" s="3" t="s">
        <v>1</v>
      </c>
      <c r="B7" s="1">
        <v>0.4</v>
      </c>
      <c r="C7" s="1" t="s">
        <v>5</v>
      </c>
      <c r="D7" s="1">
        <f t="shared" si="0"/>
        <v>10.16</v>
      </c>
      <c r="E7" s="1" t="s">
        <v>6</v>
      </c>
      <c r="I7" s="3" t="s">
        <v>23</v>
      </c>
    </row>
    <row r="8" spans="1:26" x14ac:dyDescent="0.25">
      <c r="A8" s="3" t="s">
        <v>2</v>
      </c>
      <c r="B8" s="1">
        <v>0.1</v>
      </c>
      <c r="C8" s="1" t="s">
        <v>5</v>
      </c>
      <c r="D8" s="1">
        <f t="shared" si="0"/>
        <v>2.54</v>
      </c>
      <c r="E8" s="1" t="s">
        <v>6</v>
      </c>
      <c r="I8" s="1" t="s">
        <v>24</v>
      </c>
    </row>
    <row r="9" spans="1:26" x14ac:dyDescent="0.25">
      <c r="A9" s="3" t="s">
        <v>111</v>
      </c>
      <c r="B9" s="4">
        <f>B4-B7-B8</f>
        <v>2.5499999999999998</v>
      </c>
      <c r="C9" s="4" t="s">
        <v>5</v>
      </c>
      <c r="D9" s="4">
        <f t="shared" si="0"/>
        <v>64.77</v>
      </c>
      <c r="E9" s="4" t="s">
        <v>6</v>
      </c>
    </row>
    <row r="10" spans="1:26" x14ac:dyDescent="0.25">
      <c r="A10" s="3"/>
      <c r="Q10" s="46" t="s">
        <v>118</v>
      </c>
      <c r="R10" s="46"/>
      <c r="S10" s="46"/>
      <c r="T10" s="46"/>
      <c r="U10" s="46"/>
      <c r="V10" s="46" t="s">
        <v>117</v>
      </c>
      <c r="W10" s="46"/>
      <c r="X10" s="46"/>
      <c r="Y10" s="46"/>
      <c r="Z10" s="46"/>
    </row>
    <row r="11" spans="1:26" x14ac:dyDescent="0.25">
      <c r="A11" s="3" t="s">
        <v>3</v>
      </c>
      <c r="B11" s="4">
        <f>1+CEILING((B6)/(B4-B7-B8-B5),1)</f>
        <v>5</v>
      </c>
      <c r="C11" s="4" t="s">
        <v>18</v>
      </c>
      <c r="D11" s="4"/>
      <c r="E11" s="4"/>
      <c r="P11" s="38" t="s">
        <v>119</v>
      </c>
      <c r="Q11" s="38" t="s">
        <v>120</v>
      </c>
      <c r="R11" s="39" t="s">
        <v>122</v>
      </c>
      <c r="S11" s="39" t="s">
        <v>121</v>
      </c>
      <c r="T11" s="38" t="s">
        <v>123</v>
      </c>
      <c r="U11" s="38" t="s">
        <v>124</v>
      </c>
      <c r="V11" s="38" t="s">
        <v>120</v>
      </c>
      <c r="W11" s="39" t="s">
        <v>122</v>
      </c>
      <c r="X11" s="39" t="s">
        <v>121</v>
      </c>
      <c r="Y11" s="38" t="s">
        <v>123</v>
      </c>
      <c r="Z11" s="38" t="s">
        <v>124</v>
      </c>
    </row>
    <row r="12" spans="1:26" ht="15.75" x14ac:dyDescent="0.25">
      <c r="A12" s="3" t="s">
        <v>7</v>
      </c>
      <c r="B12" s="4">
        <f>(B11-1)*(B4-B7-B8)</f>
        <v>10.199999999999999</v>
      </c>
      <c r="C12" s="4" t="s">
        <v>5</v>
      </c>
      <c r="D12" s="4">
        <f>IFERROR(B12*25.4,0)</f>
        <v>259.08</v>
      </c>
      <c r="E12" s="4" t="s">
        <v>6</v>
      </c>
      <c r="I12" s="37" t="s">
        <v>38</v>
      </c>
      <c r="O12" s="3" t="s">
        <v>110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</row>
    <row r="13" spans="1:26" x14ac:dyDescent="0.25">
      <c r="A13" s="3" t="s">
        <v>82</v>
      </c>
      <c r="B13" s="4">
        <f>B4+B11*B5</f>
        <v>3.3</v>
      </c>
      <c r="C13" s="4" t="s">
        <v>5</v>
      </c>
      <c r="D13" s="4">
        <f>IFERROR(B13*25.4,0)</f>
        <v>83.82</v>
      </c>
      <c r="E13" s="4" t="s">
        <v>6</v>
      </c>
      <c r="I13" s="3" t="s">
        <v>27</v>
      </c>
      <c r="J13" s="4">
        <f>B$11-1</f>
        <v>4</v>
      </c>
      <c r="K13" s="4" t="s">
        <v>35</v>
      </c>
      <c r="O13" s="3" t="s">
        <v>112</v>
      </c>
      <c r="Q13" s="1">
        <v>0</v>
      </c>
      <c r="R13" s="1">
        <v>3.3</v>
      </c>
      <c r="S13" s="1">
        <v>0</v>
      </c>
      <c r="T13" s="1">
        <v>3.3</v>
      </c>
      <c r="U13" s="1">
        <v>0</v>
      </c>
      <c r="V13" s="1">
        <v>0</v>
      </c>
      <c r="W13" s="1">
        <v>3.3</v>
      </c>
      <c r="X13" s="1">
        <v>0</v>
      </c>
      <c r="Y13" s="1">
        <v>3.3</v>
      </c>
      <c r="Z13" s="1">
        <v>0</v>
      </c>
    </row>
    <row r="14" spans="1:26" x14ac:dyDescent="0.25">
      <c r="I14" s="3" t="s">
        <v>26</v>
      </c>
      <c r="J14" s="1">
        <v>2E-3</v>
      </c>
      <c r="K14" s="1" t="s">
        <v>5</v>
      </c>
      <c r="L14" s="1">
        <f t="shared" ref="L14" si="1">IFERROR(J14*25.4,0)</f>
        <v>5.0799999999999998E-2</v>
      </c>
      <c r="M14" s="1" t="s">
        <v>6</v>
      </c>
      <c r="O14" s="3" t="s">
        <v>113</v>
      </c>
      <c r="P14" s="1">
        <v>1</v>
      </c>
      <c r="Q14" s="4">
        <f>IF($P14&lt;=($B$11-1),$P14*$L$17,"")</f>
        <v>5.0000208335677122E-3</v>
      </c>
      <c r="R14" s="4">
        <f>IF($P14&lt;=($B$11-1),($B$9)*COS(Q14)+(0)*SIN(Q14),"")</f>
        <v>2.5499681248007788</v>
      </c>
      <c r="S14" s="4">
        <f>IF($P14&lt;=($B$11-1),-($B$9)*SIN(Q14)+(0)*COS(Q14),"")</f>
        <v>-1.2749999999999999E-2</v>
      </c>
      <c r="T14" s="4">
        <f>IF($P14&lt;=($B$11-1),T13+R14,"")</f>
        <v>5.8499681248007782</v>
      </c>
      <c r="U14" s="4">
        <f>IF($P14&lt;=($B$11-1),U13+S14,"")</f>
        <v>-1.2749999999999999E-2</v>
      </c>
      <c r="V14" s="4">
        <f>IF($P14&lt;=($B$11-1),$P14*$L$20,"")</f>
        <v>3.0000045000182244E-3</v>
      </c>
      <c r="W14" s="4">
        <f>IF($P14&lt;=($B$11-1),($B$9)*COS(V14)+(0)*SIN(V14),"")</f>
        <v>2.5499885249741809</v>
      </c>
      <c r="X14" s="4">
        <f>IF($P14&lt;=($B$11-1),-($B$9)*SIN(V14)+(0)*COS(V14),"")</f>
        <v>-7.6499999999999971E-3</v>
      </c>
      <c r="Y14" s="4">
        <f>IF($P14&lt;=($B$11-1),Y13+W14,"")</f>
        <v>5.8499885249741812</v>
      </c>
      <c r="Z14" s="4">
        <f>IF($P14&lt;=($B$11-1),Z13+X14,"")</f>
        <v>-7.6499999999999971E-3</v>
      </c>
    </row>
    <row r="15" spans="1:26" x14ac:dyDescent="0.25">
      <c r="A15" s="3" t="s">
        <v>19</v>
      </c>
      <c r="B15" s="1">
        <v>0.5</v>
      </c>
      <c r="C15" s="1" t="s">
        <v>5</v>
      </c>
      <c r="D15" s="1">
        <f>IFERROR(B15*25.4,0)</f>
        <v>12.7</v>
      </c>
      <c r="E15" s="1" t="s">
        <v>6</v>
      </c>
      <c r="I15" s="12" t="s">
        <v>34</v>
      </c>
      <c r="J15" s="13">
        <f>J14*0.6</f>
        <v>1.1999999999999999E-3</v>
      </c>
      <c r="K15" s="13" t="s">
        <v>5</v>
      </c>
      <c r="L15" s="13">
        <f t="shared" ref="L15" si="2">IFERROR(J15*25.4,0)</f>
        <v>3.0479999999999997E-2</v>
      </c>
      <c r="M15" s="13" t="s">
        <v>6</v>
      </c>
      <c r="O15" s="3" t="s">
        <v>115</v>
      </c>
      <c r="P15" s="1">
        <v>2</v>
      </c>
      <c r="Q15" s="4">
        <f t="shared" ref="Q15:Q22" si="3">IF($P15&lt;=($B$11-1),$P15*$L$17,"")</f>
        <v>1.0000041667135424E-2</v>
      </c>
      <c r="R15" s="4">
        <f t="shared" ref="R15:R22" si="4">IF($P15&lt;=($B$11-1),($B$9)*COS(Q15)+(0)*SIN(Q15),"")</f>
        <v>2.5498724999999998</v>
      </c>
      <c r="S15" s="4">
        <f t="shared" ref="S15:S22" si="5">IF($P15&lt;=($B$11-1),-($B$9)*SIN(Q15)+(0)*COS(Q15),"")</f>
        <v>-2.5499681248007788E-2</v>
      </c>
      <c r="T15" s="4">
        <f t="shared" ref="T15:T22" si="6">IF($P15&lt;=($B$11-1),T14+R15,"")</f>
        <v>8.3998406248007775</v>
      </c>
      <c r="U15" s="4">
        <f t="shared" ref="U15:U22" si="7">IF($P15&lt;=($B$11-1),U14+S15,"")</f>
        <v>-3.8249681248007789E-2</v>
      </c>
      <c r="V15" s="4">
        <f t="shared" ref="V15:V21" si="8">IF($P15&lt;=($B$11-1),$P15*$L$20,"")</f>
        <v>6.0000090000364489E-3</v>
      </c>
      <c r="W15" s="4">
        <f t="shared" ref="W15:W21" si="9">IF($P15&lt;=($B$11-1),($B$9)*COS(V15)+(0)*SIN(V15),"")</f>
        <v>2.5499540999999999</v>
      </c>
      <c r="X15" s="4">
        <f t="shared" ref="X15:X21" si="10">IF($P15&lt;=($B$11-1),-($B$9)*SIN(V15)+(0)*COS(V15),"")</f>
        <v>-1.5299931149845084E-2</v>
      </c>
      <c r="Y15" s="4">
        <f t="shared" ref="Y15:Y21" si="11">IF($P15&lt;=($B$11-1),Y14+W15,"")</f>
        <v>8.3999426249741802</v>
      </c>
      <c r="Z15" s="4">
        <f t="shared" ref="Z15:Z22" si="12">IF($P15&lt;=($B$11-1),Z14+X15,"")</f>
        <v>-2.2949931149845081E-2</v>
      </c>
    </row>
    <row r="16" spans="1:26" x14ac:dyDescent="0.25">
      <c r="A16" s="3" t="s">
        <v>4</v>
      </c>
      <c r="B16" s="1">
        <v>0.1</v>
      </c>
      <c r="C16" s="1" t="s">
        <v>5</v>
      </c>
      <c r="D16" s="1">
        <f>IFERROR(B16*25.4,0)</f>
        <v>2.54</v>
      </c>
      <c r="E16" s="1" t="s">
        <v>6</v>
      </c>
      <c r="I16" s="3" t="s">
        <v>39</v>
      </c>
      <c r="J16" s="4">
        <f>(B$4-B$7-B$8)*(J14/B$7)</f>
        <v>1.2749999999999999E-2</v>
      </c>
      <c r="K16" s="4" t="s">
        <v>5</v>
      </c>
      <c r="L16" s="4">
        <f t="shared" ref="L16" si="13">IFERROR(J16*25.4,0)</f>
        <v>0.32384999999999997</v>
      </c>
      <c r="M16" s="4" t="s">
        <v>6</v>
      </c>
      <c r="O16" s="3" t="s">
        <v>115</v>
      </c>
      <c r="P16" s="1">
        <v>3</v>
      </c>
      <c r="Q16" s="4">
        <f t="shared" si="3"/>
        <v>1.5000062500703137E-2</v>
      </c>
      <c r="R16" s="4">
        <f t="shared" si="4"/>
        <v>2.5497131279882987</v>
      </c>
      <c r="S16" s="4">
        <f t="shared" si="5"/>
        <v>-3.8248724999999997E-2</v>
      </c>
      <c r="T16" s="4">
        <f t="shared" si="6"/>
        <v>10.949553752789075</v>
      </c>
      <c r="U16" s="4">
        <f t="shared" si="7"/>
        <v>-7.6498406248007786E-2</v>
      </c>
      <c r="V16" s="4">
        <f t="shared" si="8"/>
        <v>9.0000135000546724E-3</v>
      </c>
      <c r="W16" s="4">
        <f t="shared" si="9"/>
        <v>2.5498967253872817</v>
      </c>
      <c r="X16" s="4">
        <f t="shared" si="10"/>
        <v>-2.2949724599999992E-2</v>
      </c>
      <c r="Y16" s="4">
        <f t="shared" si="11"/>
        <v>10.949839350361461</v>
      </c>
      <c r="Z16" s="4">
        <f t="shared" si="12"/>
        <v>-4.5899655749845072E-2</v>
      </c>
    </row>
    <row r="17" spans="1:26" x14ac:dyDescent="0.25">
      <c r="A17" s="1" t="s">
        <v>76</v>
      </c>
      <c r="B17" s="1">
        <v>20</v>
      </c>
      <c r="C17" s="1" t="s">
        <v>78</v>
      </c>
      <c r="D17" s="1">
        <f>IFERROR(B17/25.4,0)</f>
        <v>0.78740157480314965</v>
      </c>
      <c r="E17" s="1" t="s">
        <v>79</v>
      </c>
      <c r="I17" s="3" t="s">
        <v>30</v>
      </c>
      <c r="J17" s="4">
        <f>DEGREES(ASIN(J14/B$7))</f>
        <v>0.28648009124091373</v>
      </c>
      <c r="K17" s="4" t="s">
        <v>32</v>
      </c>
      <c r="L17" s="4">
        <f>RADIANS(J17)</f>
        <v>5.0000208335677122E-3</v>
      </c>
      <c r="M17" s="4" t="s">
        <v>33</v>
      </c>
      <c r="O17" s="3" t="s">
        <v>115</v>
      </c>
      <c r="P17" s="1">
        <v>4</v>
      </c>
      <c r="Q17" s="4">
        <f t="shared" si="3"/>
        <v>2.0000083334270849E-2</v>
      </c>
      <c r="R17" s="4">
        <f t="shared" si="4"/>
        <v>2.5494900127499998</v>
      </c>
      <c r="S17" s="4">
        <f t="shared" si="5"/>
        <v>-5.0996812527890775E-2</v>
      </c>
      <c r="T17" s="4">
        <f t="shared" si="6"/>
        <v>13.499043765539074</v>
      </c>
      <c r="U17" s="4">
        <f t="shared" si="7"/>
        <v>-0.12749521877589856</v>
      </c>
      <c r="V17" s="4">
        <f t="shared" si="8"/>
        <v>1.2000018000072898E-2</v>
      </c>
      <c r="W17" s="4">
        <f t="shared" si="9"/>
        <v>2.5498164016524001</v>
      </c>
      <c r="X17" s="4">
        <f t="shared" si="10"/>
        <v>-3.0599311502168769E-2</v>
      </c>
      <c r="Y17" s="4">
        <f t="shared" si="11"/>
        <v>13.499655752013862</v>
      </c>
      <c r="Z17" s="4">
        <f t="shared" si="12"/>
        <v>-7.6498967252013841E-2</v>
      </c>
    </row>
    <row r="18" spans="1:26" x14ac:dyDescent="0.25">
      <c r="A18" s="1" t="s">
        <v>77</v>
      </c>
      <c r="B18" s="1">
        <f>1/B17*COS(RADIANS(30))*5/8</f>
        <v>2.7063293868263713E-2</v>
      </c>
      <c r="C18" s="1" t="s">
        <v>5</v>
      </c>
      <c r="D18" s="1">
        <f t="shared" ref="D18:D30" si="14">IFERROR(B18*25.4,0)</f>
        <v>0.68740766425389832</v>
      </c>
      <c r="E18" s="1" t="s">
        <v>6</v>
      </c>
      <c r="I18" s="41" t="s">
        <v>28</v>
      </c>
      <c r="J18" s="42">
        <f>J16*J13</f>
        <v>5.0999999999999997E-2</v>
      </c>
      <c r="K18" s="42" t="s">
        <v>5</v>
      </c>
      <c r="L18" s="42">
        <f>IFERROR(J18*25.4,0)</f>
        <v>1.2953999999999999</v>
      </c>
      <c r="M18" s="42" t="s">
        <v>6</v>
      </c>
      <c r="O18" s="3" t="s">
        <v>115</v>
      </c>
      <c r="P18" s="1">
        <v>5</v>
      </c>
      <c r="Q18" s="4" t="str">
        <f t="shared" si="3"/>
        <v/>
      </c>
      <c r="R18" s="4" t="str">
        <f t="shared" si="4"/>
        <v/>
      </c>
      <c r="S18" s="4" t="str">
        <f t="shared" si="5"/>
        <v/>
      </c>
      <c r="T18" s="4" t="str">
        <f t="shared" si="6"/>
        <v/>
      </c>
      <c r="U18" s="4" t="str">
        <f t="shared" si="7"/>
        <v/>
      </c>
      <c r="V18" s="4" t="str">
        <f t="shared" si="8"/>
        <v/>
      </c>
      <c r="W18" s="4" t="str">
        <f t="shared" si="9"/>
        <v/>
      </c>
      <c r="X18" s="4" t="str">
        <f t="shared" si="10"/>
        <v/>
      </c>
      <c r="Y18" s="4" t="str">
        <f t="shared" si="11"/>
        <v/>
      </c>
      <c r="Z18" s="4" t="str">
        <f t="shared" si="12"/>
        <v/>
      </c>
    </row>
    <row r="19" spans="1:26" x14ac:dyDescent="0.25">
      <c r="A19" s="3" t="s">
        <v>41</v>
      </c>
      <c r="B19" s="1">
        <v>2.5000000000000001E-2</v>
      </c>
      <c r="C19" s="1" t="s">
        <v>5</v>
      </c>
      <c r="D19" s="1">
        <f t="shared" si="14"/>
        <v>0.63500000000000001</v>
      </c>
      <c r="E19" s="1" t="s">
        <v>6</v>
      </c>
      <c r="I19" s="3" t="s">
        <v>40</v>
      </c>
      <c r="J19" s="4">
        <f>(B$4-B$7-B$8)*(J15/B$7)</f>
        <v>7.6499999999999988E-3</v>
      </c>
      <c r="K19" s="4" t="s">
        <v>5</v>
      </c>
      <c r="L19" s="4">
        <f>IFERROR(J19*25.4,0)</f>
        <v>0.19430999999999995</v>
      </c>
      <c r="M19" s="4" t="s">
        <v>6</v>
      </c>
      <c r="O19" s="3" t="s">
        <v>115</v>
      </c>
      <c r="P19" s="40">
        <v>6</v>
      </c>
      <c r="Q19" s="4" t="str">
        <f t="shared" si="3"/>
        <v/>
      </c>
      <c r="R19" s="4" t="str">
        <f t="shared" si="4"/>
        <v/>
      </c>
      <c r="S19" s="4" t="str">
        <f t="shared" si="5"/>
        <v/>
      </c>
      <c r="T19" s="4" t="str">
        <f t="shared" si="6"/>
        <v/>
      </c>
      <c r="U19" s="4" t="str">
        <f t="shared" si="7"/>
        <v/>
      </c>
      <c r="V19" s="4" t="str">
        <f t="shared" si="8"/>
        <v/>
      </c>
      <c r="W19" s="4" t="str">
        <f t="shared" si="9"/>
        <v/>
      </c>
      <c r="X19" s="4" t="str">
        <f t="shared" si="10"/>
        <v/>
      </c>
      <c r="Y19" s="4" t="str">
        <f t="shared" si="11"/>
        <v/>
      </c>
      <c r="Z19" s="4" t="str">
        <f t="shared" si="12"/>
        <v/>
      </c>
    </row>
    <row r="20" spans="1:26" x14ac:dyDescent="0.25">
      <c r="A20" s="1" t="s">
        <v>80</v>
      </c>
      <c r="B20" s="1">
        <v>0.05</v>
      </c>
      <c r="D20" s="1">
        <f t="shared" si="14"/>
        <v>1.27</v>
      </c>
      <c r="I20" s="3" t="s">
        <v>31</v>
      </c>
      <c r="J20" s="4">
        <f>DEGREES(ASIN(J15/B$7))</f>
        <v>0.17188759637129897</v>
      </c>
      <c r="K20" s="4" t="s">
        <v>32</v>
      </c>
      <c r="L20" s="4">
        <f>RADIANS(J20)</f>
        <v>3.0000045000182244E-3</v>
      </c>
      <c r="M20" s="4" t="s">
        <v>33</v>
      </c>
      <c r="O20" s="3" t="s">
        <v>115</v>
      </c>
      <c r="P20" s="40">
        <v>7</v>
      </c>
      <c r="Q20" s="4" t="str">
        <f t="shared" si="3"/>
        <v/>
      </c>
      <c r="R20" s="4" t="str">
        <f t="shared" si="4"/>
        <v/>
      </c>
      <c r="S20" s="4" t="str">
        <f t="shared" si="5"/>
        <v/>
      </c>
      <c r="T20" s="4" t="str">
        <f t="shared" si="6"/>
        <v/>
      </c>
      <c r="U20" s="4" t="str">
        <f t="shared" si="7"/>
        <v/>
      </c>
      <c r="V20" s="4" t="str">
        <f t="shared" si="8"/>
        <v/>
      </c>
      <c r="W20" s="4" t="str">
        <f t="shared" si="9"/>
        <v/>
      </c>
      <c r="X20" s="4" t="str">
        <f t="shared" si="10"/>
        <v/>
      </c>
      <c r="Y20" s="4" t="str">
        <f t="shared" si="11"/>
        <v/>
      </c>
      <c r="Z20" s="4" t="str">
        <f t="shared" si="12"/>
        <v/>
      </c>
    </row>
    <row r="21" spans="1:26" x14ac:dyDescent="0.25">
      <c r="A21" s="3" t="s">
        <v>8</v>
      </c>
      <c r="B21" s="4">
        <f>B15+2*B19</f>
        <v>0.55000000000000004</v>
      </c>
      <c r="C21" s="4" t="s">
        <v>5</v>
      </c>
      <c r="D21" s="4">
        <f t="shared" si="14"/>
        <v>13.97</v>
      </c>
      <c r="E21" s="4" t="s">
        <v>6</v>
      </c>
      <c r="I21" s="43" t="s">
        <v>29</v>
      </c>
      <c r="J21" s="44">
        <f>J19*J13</f>
        <v>3.0599999999999995E-2</v>
      </c>
      <c r="K21" s="44" t="s">
        <v>5</v>
      </c>
      <c r="L21" s="44">
        <f>IFERROR(J21*25.4,0)</f>
        <v>0.77723999999999982</v>
      </c>
      <c r="M21" s="44" t="s">
        <v>6</v>
      </c>
      <c r="O21" s="3" t="s">
        <v>116</v>
      </c>
      <c r="P21" s="40">
        <v>8</v>
      </c>
      <c r="Q21" s="4" t="str">
        <f t="shared" si="3"/>
        <v/>
      </c>
      <c r="R21" s="4" t="str">
        <f t="shared" si="4"/>
        <v/>
      </c>
      <c r="S21" s="4" t="str">
        <f t="shared" si="5"/>
        <v/>
      </c>
      <c r="T21" s="4" t="str">
        <f t="shared" si="6"/>
        <v/>
      </c>
      <c r="U21" s="4" t="str">
        <f t="shared" si="7"/>
        <v/>
      </c>
      <c r="V21" s="4" t="str">
        <f t="shared" si="8"/>
        <v/>
      </c>
      <c r="W21" s="4" t="str">
        <f t="shared" si="9"/>
        <v/>
      </c>
      <c r="X21" s="4" t="str">
        <f t="shared" si="10"/>
        <v/>
      </c>
      <c r="Y21" s="4" t="str">
        <f t="shared" si="11"/>
        <v/>
      </c>
      <c r="Z21" s="4" t="str">
        <f t="shared" si="12"/>
        <v/>
      </c>
    </row>
    <row r="22" spans="1:26" x14ac:dyDescent="0.25">
      <c r="A22" s="3" t="s">
        <v>9</v>
      </c>
      <c r="B22" s="4">
        <f>IF((ROW(B22)-21)&lt;B$11,B21+2*B$16+2*B$19,"")</f>
        <v>0.8</v>
      </c>
      <c r="C22" s="4" t="s">
        <v>5</v>
      </c>
      <c r="D22" s="4">
        <f t="shared" si="14"/>
        <v>20.32</v>
      </c>
      <c r="E22" s="4" t="s">
        <v>6</v>
      </c>
      <c r="O22" s="3" t="s">
        <v>114</v>
      </c>
      <c r="P22" s="40">
        <v>9</v>
      </c>
      <c r="Q22" s="4" t="str">
        <f t="shared" si="3"/>
        <v/>
      </c>
      <c r="R22" s="4" t="str">
        <f t="shared" si="4"/>
        <v/>
      </c>
      <c r="S22" s="4" t="str">
        <f t="shared" si="5"/>
        <v/>
      </c>
      <c r="T22" s="4" t="str">
        <f t="shared" si="6"/>
        <v/>
      </c>
      <c r="U22" s="4" t="str">
        <f t="shared" si="7"/>
        <v/>
      </c>
      <c r="V22" s="4"/>
      <c r="W22" s="4"/>
      <c r="X22" s="4"/>
      <c r="Y22" s="4"/>
      <c r="Z22" s="4" t="str">
        <f t="shared" si="12"/>
        <v/>
      </c>
    </row>
    <row r="23" spans="1:26" x14ac:dyDescent="0.25">
      <c r="A23" s="3" t="s">
        <v>10</v>
      </c>
      <c r="B23" s="4">
        <f t="shared" ref="B23:B30" si="15">IF((ROW(B23)-21)&lt;B$11,B22+2*B$16+2*B$19,"")</f>
        <v>1.05</v>
      </c>
      <c r="C23" s="4" t="s">
        <v>5</v>
      </c>
      <c r="D23" s="4">
        <f t="shared" si="14"/>
        <v>26.669999999999998</v>
      </c>
      <c r="E23" s="4" t="s">
        <v>6</v>
      </c>
    </row>
    <row r="24" spans="1:26" ht="15.75" x14ac:dyDescent="0.25">
      <c r="A24" s="3" t="s">
        <v>11</v>
      </c>
      <c r="B24" s="4">
        <f t="shared" si="15"/>
        <v>1.3</v>
      </c>
      <c r="C24" s="4" t="s">
        <v>5</v>
      </c>
      <c r="D24" s="4">
        <f t="shared" si="14"/>
        <v>33.019999999999996</v>
      </c>
      <c r="E24" s="4" t="s">
        <v>6</v>
      </c>
      <c r="I24" s="37" t="s">
        <v>84</v>
      </c>
      <c r="O24" s="15"/>
    </row>
    <row r="25" spans="1:26" x14ac:dyDescent="0.25">
      <c r="A25" s="3" t="s">
        <v>12</v>
      </c>
      <c r="B25" s="4">
        <f t="shared" si="15"/>
        <v>1.55</v>
      </c>
      <c r="C25" s="4" t="s">
        <v>5</v>
      </c>
      <c r="D25" s="4">
        <f t="shared" si="14"/>
        <v>39.369999999999997</v>
      </c>
      <c r="E25" s="4" t="s">
        <v>6</v>
      </c>
      <c r="I25" s="8" t="s">
        <v>68</v>
      </c>
      <c r="J25" s="14">
        <f>B$21</f>
        <v>0.55000000000000004</v>
      </c>
      <c r="K25" s="1" t="s">
        <v>5</v>
      </c>
      <c r="L25" s="1">
        <f t="shared" ref="L25:L29" si="16">IFERROR(J25*25.4,0)</f>
        <v>13.97</v>
      </c>
      <c r="M25" s="14" t="s">
        <v>6</v>
      </c>
      <c r="N25" s="15" t="s">
        <v>108</v>
      </c>
      <c r="O25" s="15"/>
    </row>
    <row r="26" spans="1:26" x14ac:dyDescent="0.25">
      <c r="A26" s="3" t="s">
        <v>13</v>
      </c>
      <c r="B26" s="4" t="str">
        <f t="shared" si="15"/>
        <v/>
      </c>
      <c r="C26" s="4" t="s">
        <v>5</v>
      </c>
      <c r="D26" s="4">
        <f t="shared" si="14"/>
        <v>0</v>
      </c>
      <c r="E26" s="4" t="s">
        <v>6</v>
      </c>
      <c r="I26" s="8" t="s">
        <v>69</v>
      </c>
      <c r="J26" s="21">
        <f>J25-2*B16</f>
        <v>0.35000000000000003</v>
      </c>
      <c r="K26" s="4" t="s">
        <v>5</v>
      </c>
      <c r="L26" s="4">
        <f t="shared" si="16"/>
        <v>8.89</v>
      </c>
      <c r="M26" s="21" t="s">
        <v>6</v>
      </c>
      <c r="N26" s="15"/>
      <c r="O26" s="15"/>
      <c r="P26" s="15"/>
      <c r="Q26" s="15"/>
      <c r="R26" s="15"/>
    </row>
    <row r="27" spans="1:26" x14ac:dyDescent="0.25">
      <c r="A27" s="3" t="s">
        <v>14</v>
      </c>
      <c r="B27" s="4" t="str">
        <f t="shared" si="15"/>
        <v/>
      </c>
      <c r="C27" s="4" t="s">
        <v>5</v>
      </c>
      <c r="D27" s="4">
        <f t="shared" si="14"/>
        <v>0</v>
      </c>
      <c r="E27" s="4" t="s">
        <v>6</v>
      </c>
      <c r="I27" s="8" t="s">
        <v>70</v>
      </c>
      <c r="J27" s="21">
        <f>(J25-J26)/2</f>
        <v>0.1</v>
      </c>
      <c r="K27" s="4" t="s">
        <v>5</v>
      </c>
      <c r="L27" s="4">
        <f t="shared" si="16"/>
        <v>2.54</v>
      </c>
      <c r="M27" s="21" t="s">
        <v>6</v>
      </c>
      <c r="N27" s="15"/>
      <c r="O27" s="15"/>
      <c r="P27" s="15"/>
      <c r="Q27" s="15"/>
      <c r="R27" s="15"/>
    </row>
    <row r="28" spans="1:26" x14ac:dyDescent="0.25">
      <c r="A28" s="3" t="s">
        <v>15</v>
      </c>
      <c r="B28" s="4" t="str">
        <f t="shared" si="15"/>
        <v/>
      </c>
      <c r="C28" s="4" t="s">
        <v>5</v>
      </c>
      <c r="D28" s="4">
        <f t="shared" si="14"/>
        <v>0</v>
      </c>
      <c r="E28" s="4" t="s">
        <v>6</v>
      </c>
      <c r="I28" s="8" t="s">
        <v>71</v>
      </c>
      <c r="J28" s="21">
        <f>PI()/4*(J25^4-J26^4)</f>
        <v>6.0082959499904803E-2</v>
      </c>
      <c r="K28" s="4" t="s">
        <v>52</v>
      </c>
      <c r="L28" s="21">
        <f>PI()/4*(L25^4-L26^4)</f>
        <v>25008.415886912444</v>
      </c>
      <c r="M28" s="21" t="s">
        <v>97</v>
      </c>
      <c r="N28" s="15"/>
      <c r="O28" s="16"/>
      <c r="P28" s="15"/>
      <c r="Q28" s="15"/>
      <c r="R28" s="15"/>
    </row>
    <row r="29" spans="1:26" x14ac:dyDescent="0.25">
      <c r="A29" s="3" t="s">
        <v>16</v>
      </c>
      <c r="B29" s="4" t="str">
        <f t="shared" si="15"/>
        <v/>
      </c>
      <c r="C29" s="4" t="s">
        <v>5</v>
      </c>
      <c r="D29" s="4">
        <f t="shared" si="14"/>
        <v>0</v>
      </c>
      <c r="E29" s="4" t="s">
        <v>6</v>
      </c>
      <c r="I29" s="8" t="s">
        <v>72</v>
      </c>
      <c r="J29" s="9">
        <f>B13</f>
        <v>3.3</v>
      </c>
      <c r="K29" s="1" t="s">
        <v>5</v>
      </c>
      <c r="L29" s="1">
        <f t="shared" si="16"/>
        <v>83.82</v>
      </c>
      <c r="M29" s="9" t="s">
        <v>6</v>
      </c>
      <c r="N29" s="16"/>
    </row>
    <row r="30" spans="1:26" x14ac:dyDescent="0.25">
      <c r="A30" s="3" t="s">
        <v>17</v>
      </c>
      <c r="B30" s="4" t="str">
        <f t="shared" si="15"/>
        <v/>
      </c>
      <c r="C30" s="4" t="s">
        <v>5</v>
      </c>
      <c r="D30" s="4">
        <f t="shared" si="14"/>
        <v>0</v>
      </c>
      <c r="E30" s="4" t="s">
        <v>6</v>
      </c>
      <c r="I30" s="17" t="s">
        <v>74</v>
      </c>
      <c r="J30" s="18"/>
      <c r="K30" s="18"/>
      <c r="L30" s="19">
        <v>10</v>
      </c>
      <c r="M30" s="19" t="s">
        <v>42</v>
      </c>
      <c r="N30" s="20"/>
      <c r="O30" s="20"/>
      <c r="P30" s="15"/>
      <c r="Q30" s="15"/>
      <c r="R30" s="15"/>
    </row>
    <row r="31" spans="1:26" x14ac:dyDescent="0.25">
      <c r="I31" s="8" t="s">
        <v>85</v>
      </c>
      <c r="J31" s="6"/>
      <c r="K31" s="6"/>
      <c r="L31" s="9">
        <f>68900</f>
        <v>68900</v>
      </c>
      <c r="M31" s="9" t="s">
        <v>98</v>
      </c>
      <c r="N31" s="16"/>
      <c r="O31" s="16"/>
      <c r="P31" s="15"/>
      <c r="Q31" s="15"/>
      <c r="R31" s="15"/>
    </row>
    <row r="32" spans="1:26" x14ac:dyDescent="0.25">
      <c r="I32" s="8" t="s">
        <v>95</v>
      </c>
      <c r="J32" s="6"/>
      <c r="K32" s="6"/>
      <c r="L32" s="9">
        <f>2700/10^9</f>
        <v>2.7E-6</v>
      </c>
      <c r="M32" s="9" t="s">
        <v>100</v>
      </c>
      <c r="P32" s="15"/>
      <c r="Q32" s="15"/>
      <c r="R32" s="15"/>
    </row>
    <row r="33" spans="1:18" x14ac:dyDescent="0.25">
      <c r="A33" s="15"/>
      <c r="B33" s="15"/>
      <c r="C33" s="15"/>
      <c r="D33" s="15"/>
      <c r="E33" s="15"/>
      <c r="F33" s="15"/>
      <c r="I33" s="8" t="s">
        <v>93</v>
      </c>
      <c r="J33" s="6"/>
      <c r="K33" s="6"/>
      <c r="L33" s="21">
        <f>3*L31*L28/L29^3</f>
        <v>8777.7597547711375</v>
      </c>
      <c r="M33" s="21" t="s">
        <v>99</v>
      </c>
      <c r="N33" s="21">
        <f>L33/10^3</f>
        <v>8.7777597547711377</v>
      </c>
      <c r="O33" s="21" t="s">
        <v>73</v>
      </c>
      <c r="P33" s="15"/>
      <c r="Q33" s="15"/>
      <c r="R33" s="15"/>
    </row>
    <row r="34" spans="1:18" x14ac:dyDescent="0.25">
      <c r="A34" s="14"/>
      <c r="B34" s="32"/>
      <c r="C34" s="14"/>
      <c r="D34" s="14"/>
      <c r="E34" s="14"/>
      <c r="F34" s="14"/>
      <c r="G34"/>
      <c r="I34" s="8" t="s">
        <v>94</v>
      </c>
      <c r="J34" s="5">
        <f>L34/25.4</f>
        <v>4.4852080530864309E-5</v>
      </c>
      <c r="K34" s="5" t="s">
        <v>5</v>
      </c>
      <c r="L34" s="24">
        <f>L30/L33</f>
        <v>1.1392428454839534E-3</v>
      </c>
      <c r="M34" s="25" t="s">
        <v>6</v>
      </c>
      <c r="N34" s="25">
        <f>L34*10^3</f>
        <v>1.1392428454839534</v>
      </c>
      <c r="O34" s="25" t="s">
        <v>104</v>
      </c>
      <c r="P34" s="15" t="s">
        <v>106</v>
      </c>
      <c r="Q34" s="15"/>
      <c r="R34" s="15"/>
    </row>
    <row r="35" spans="1:18" x14ac:dyDescent="0.25">
      <c r="A35" s="14"/>
      <c r="B35" s="32"/>
      <c r="C35" s="14"/>
      <c r="D35" s="14"/>
      <c r="E35" s="14"/>
      <c r="F35" s="14"/>
      <c r="G35"/>
      <c r="I35" s="8" t="s">
        <v>101</v>
      </c>
      <c r="J35" s="4">
        <f>L35*2.2</f>
        <v>4.5411298584090563E-2</v>
      </c>
      <c r="K35" s="4" t="s">
        <v>105</v>
      </c>
      <c r="L35" s="4">
        <f>L32*PI()*((L25/2)^2-(L26/2)^2)*L29</f>
        <v>2.0641499356404799E-2</v>
      </c>
      <c r="M35" s="4" t="s">
        <v>103</v>
      </c>
      <c r="P35" s="15"/>
      <c r="Q35" s="15"/>
      <c r="R35" s="15"/>
    </row>
    <row r="36" spans="1:18" x14ac:dyDescent="0.25">
      <c r="A36" s="33"/>
      <c r="B36" s="32"/>
      <c r="C36" s="10"/>
      <c r="D36" s="10"/>
      <c r="E36" s="14"/>
      <c r="F36" s="14"/>
      <c r="G36"/>
      <c r="I36" s="17" t="s">
        <v>96</v>
      </c>
      <c r="J36" s="18"/>
      <c r="K36" s="18"/>
      <c r="L36" s="22">
        <f>(1/(2*PI()))*SQRT(L33*1000/(L32*(PI()*(L25/2)^2-PI()*(L26/2)^2)*L29))</f>
        <v>3282.0210073136091</v>
      </c>
      <c r="M36" s="23" t="s">
        <v>75</v>
      </c>
      <c r="N36" s="20"/>
      <c r="O36" s="20"/>
      <c r="P36" s="15"/>
      <c r="Q36" s="15"/>
      <c r="R36" s="15"/>
    </row>
    <row r="37" spans="1:18" x14ac:dyDescent="0.25">
      <c r="A37" s="14"/>
      <c r="B37" s="32"/>
      <c r="C37" s="14"/>
      <c r="D37" s="14"/>
      <c r="E37" s="14"/>
      <c r="F37" s="14"/>
      <c r="G37"/>
      <c r="I37" s="8" t="s">
        <v>88</v>
      </c>
      <c r="J37" s="6"/>
      <c r="K37" s="6"/>
      <c r="L37" s="9">
        <f>200*10^3</f>
        <v>200000</v>
      </c>
      <c r="M37" s="9" t="s">
        <v>98</v>
      </c>
      <c r="N37" s="16"/>
      <c r="O37" s="16"/>
      <c r="P37" s="15"/>
      <c r="Q37" s="15"/>
      <c r="R37" s="15"/>
    </row>
    <row r="38" spans="1:18" x14ac:dyDescent="0.25">
      <c r="A38" s="14"/>
      <c r="B38" s="32"/>
      <c r="C38" s="14"/>
      <c r="D38" s="14"/>
      <c r="E38" s="14"/>
      <c r="F38" s="14"/>
      <c r="G38"/>
      <c r="I38" s="8" t="s">
        <v>91</v>
      </c>
      <c r="J38" s="6"/>
      <c r="K38" s="6"/>
      <c r="L38" s="9">
        <f>8000/10^9</f>
        <v>7.9999999999999996E-6</v>
      </c>
      <c r="M38" s="9" t="s">
        <v>100</v>
      </c>
      <c r="P38" s="15"/>
      <c r="Q38" s="15"/>
      <c r="R38" s="15"/>
    </row>
    <row r="39" spans="1:18" x14ac:dyDescent="0.25">
      <c r="A39" s="14"/>
      <c r="B39" s="32"/>
      <c r="C39" s="14"/>
      <c r="D39" s="14"/>
      <c r="E39" s="14"/>
      <c r="F39" s="14"/>
      <c r="G39"/>
      <c r="I39" s="8" t="s">
        <v>89</v>
      </c>
      <c r="J39" s="6"/>
      <c r="K39" s="6"/>
      <c r="L39" s="21">
        <f>3*L37*L28/L29^3</f>
        <v>25479.709012398074</v>
      </c>
      <c r="M39" s="21" t="s">
        <v>99</v>
      </c>
      <c r="N39" s="21">
        <f>L39/10^3</f>
        <v>25.479709012398075</v>
      </c>
      <c r="O39" s="21" t="s">
        <v>73</v>
      </c>
      <c r="P39" s="15" t="s">
        <v>106</v>
      </c>
      <c r="Q39" s="15"/>
      <c r="R39" s="15"/>
    </row>
    <row r="40" spans="1:18" x14ac:dyDescent="0.25">
      <c r="A40" s="14"/>
      <c r="B40" s="32"/>
      <c r="C40" s="14"/>
      <c r="D40" s="14"/>
      <c r="E40" s="14"/>
      <c r="F40" s="14"/>
      <c r="G40"/>
      <c r="I40" s="8" t="s">
        <v>90</v>
      </c>
      <c r="J40" s="5">
        <f>L40/25.4</f>
        <v>1.5451541742882757E-5</v>
      </c>
      <c r="K40" s="5" t="s">
        <v>5</v>
      </c>
      <c r="L40" s="24">
        <f>L30/L39</f>
        <v>3.9246916026922199E-4</v>
      </c>
      <c r="M40" s="24" t="s">
        <v>6</v>
      </c>
      <c r="N40" s="25">
        <f>L40*10^3</f>
        <v>0.39246916026922202</v>
      </c>
      <c r="O40" s="25" t="s">
        <v>104</v>
      </c>
      <c r="P40" s="15"/>
      <c r="Q40" s="15"/>
      <c r="R40" s="15"/>
    </row>
    <row r="41" spans="1:18" x14ac:dyDescent="0.25">
      <c r="A41" s="14"/>
      <c r="B41" s="32"/>
      <c r="C41" s="14"/>
      <c r="D41" s="14"/>
      <c r="E41" s="14"/>
      <c r="F41" s="14"/>
      <c r="G41"/>
      <c r="I41" s="8" t="s">
        <v>102</v>
      </c>
      <c r="J41" s="4">
        <f>L41*2.2</f>
        <v>0.13455199580471278</v>
      </c>
      <c r="K41" s="4" t="s">
        <v>105</v>
      </c>
      <c r="L41" s="4">
        <f>L38*PI()*((L25/2)^2-(L26/2)^2)*L29</f>
        <v>6.1159998093051254E-2</v>
      </c>
      <c r="M41" s="4" t="s">
        <v>103</v>
      </c>
      <c r="N41" s="16"/>
      <c r="O41" s="16"/>
      <c r="P41" s="15"/>
      <c r="Q41" s="15"/>
      <c r="R41" s="15"/>
    </row>
    <row r="42" spans="1:18" x14ac:dyDescent="0.25">
      <c r="A42" s="14"/>
      <c r="B42" s="32"/>
      <c r="C42" s="14"/>
      <c r="D42" s="14"/>
      <c r="E42" s="14"/>
      <c r="F42" s="14"/>
      <c r="G42"/>
      <c r="I42" s="8" t="s">
        <v>92</v>
      </c>
      <c r="J42" s="6"/>
      <c r="K42" s="6"/>
      <c r="L42" s="21">
        <f>(1/(2*PI()))*SQRT(L39*1000/(L38*(PI()*(L25/2)^2-PI()*(L26/2)^2)*L29))</f>
        <v>3248.5056913908838</v>
      </c>
      <c r="M42" s="21" t="s">
        <v>75</v>
      </c>
      <c r="N42" s="16"/>
      <c r="O42" s="16"/>
      <c r="P42" s="15"/>
      <c r="Q42" s="15"/>
      <c r="R42" s="15"/>
    </row>
    <row r="43" spans="1:18" x14ac:dyDescent="0.25">
      <c r="A43" s="14"/>
      <c r="B43" s="32"/>
      <c r="C43" s="14"/>
      <c r="D43" s="14"/>
      <c r="E43" s="14"/>
      <c r="F43" s="14"/>
      <c r="G43"/>
    </row>
    <row r="44" spans="1:18" x14ac:dyDescent="0.25">
      <c r="A44" s="10"/>
      <c r="B44" s="34"/>
      <c r="C44" s="10"/>
      <c r="D44" s="10"/>
      <c r="E44" s="10"/>
      <c r="F44" s="35"/>
      <c r="G44"/>
    </row>
    <row r="45" spans="1:18" ht="15.75" x14ac:dyDescent="0.25">
      <c r="A45" s="10"/>
      <c r="B45" s="34"/>
      <c r="C45" s="10"/>
      <c r="D45" s="10"/>
      <c r="E45" s="10"/>
      <c r="F45" s="14"/>
      <c r="G45"/>
      <c r="I45" s="37" t="s">
        <v>107</v>
      </c>
    </row>
    <row r="46" spans="1:18" x14ac:dyDescent="0.25">
      <c r="A46" s="14"/>
      <c r="B46" s="32"/>
      <c r="C46" s="14"/>
      <c r="D46" s="14"/>
      <c r="E46" s="14"/>
      <c r="F46" s="14"/>
      <c r="G46"/>
      <c r="I46" s="3" t="s">
        <v>27</v>
      </c>
      <c r="J46" s="4">
        <f>B$11-1</f>
        <v>4</v>
      </c>
      <c r="K46" s="4" t="s">
        <v>35</v>
      </c>
    </row>
    <row r="47" spans="1:18" x14ac:dyDescent="0.25">
      <c r="A47" s="10"/>
      <c r="B47" s="11"/>
      <c r="C47" s="10"/>
      <c r="D47" s="10"/>
      <c r="E47" s="10"/>
      <c r="F47" s="14"/>
      <c r="G47"/>
      <c r="I47" s="3" t="s">
        <v>26</v>
      </c>
      <c r="J47" s="1">
        <v>2E-3</v>
      </c>
      <c r="K47" s="1" t="s">
        <v>5</v>
      </c>
      <c r="L47" s="1">
        <f t="shared" ref="L47" si="17">IFERROR(J47*25.4,0)</f>
        <v>5.0799999999999998E-2</v>
      </c>
      <c r="M47" s="1" t="s">
        <v>6</v>
      </c>
    </row>
    <row r="48" spans="1:18" x14ac:dyDescent="0.25">
      <c r="A48" s="9"/>
      <c r="B48" s="36"/>
      <c r="C48" s="9"/>
      <c r="D48" s="9"/>
      <c r="E48" s="9"/>
      <c r="F48" s="14"/>
      <c r="G48"/>
      <c r="I48" s="3" t="s">
        <v>36</v>
      </c>
      <c r="J48" s="4">
        <f>J47/TAN(RADIANS(60))</f>
        <v>1.1547005383792518E-3</v>
      </c>
      <c r="K48" s="4" t="s">
        <v>5</v>
      </c>
      <c r="L48" s="4">
        <f t="shared" ref="L48" si="18">IFERROR(J48*25.4,0)</f>
        <v>2.9329393674832994E-2</v>
      </c>
      <c r="M48" s="4" t="s">
        <v>6</v>
      </c>
    </row>
    <row r="49" spans="1:14" x14ac:dyDescent="0.25">
      <c r="A49" s="10"/>
      <c r="B49" s="34"/>
      <c r="C49" s="10"/>
      <c r="D49" s="10"/>
      <c r="E49" s="10"/>
      <c r="F49" s="14"/>
      <c r="I49" s="3" t="s">
        <v>37</v>
      </c>
      <c r="J49" s="5">
        <f>J48*J46</f>
        <v>4.6188021535170072E-3</v>
      </c>
      <c r="K49" s="5" t="s">
        <v>5</v>
      </c>
      <c r="L49" s="5">
        <f t="shared" ref="L49" si="19">IFERROR(J49*25.4,0)</f>
        <v>0.11731757469933198</v>
      </c>
      <c r="M49" s="5" t="s">
        <v>6</v>
      </c>
    </row>
    <row r="50" spans="1:14" x14ac:dyDescent="0.25">
      <c r="A50" s="10"/>
      <c r="B50" s="11"/>
      <c r="C50" s="10"/>
      <c r="D50" s="10"/>
      <c r="E50" s="10"/>
      <c r="F50" s="14"/>
      <c r="G50"/>
    </row>
    <row r="51" spans="1:14" x14ac:dyDescent="0.25">
      <c r="A51" s="15"/>
      <c r="B51" s="15"/>
      <c r="C51" s="10"/>
      <c r="D51" s="15"/>
      <c r="E51" s="15"/>
      <c r="F51" s="15"/>
    </row>
    <row r="52" spans="1:14" ht="15.75" x14ac:dyDescent="0.25">
      <c r="A52" s="15"/>
      <c r="B52" s="15"/>
      <c r="C52" s="15"/>
      <c r="D52" s="15"/>
      <c r="E52" s="15"/>
      <c r="F52" s="15"/>
      <c r="I52" s="37" t="s">
        <v>66</v>
      </c>
    </row>
    <row r="53" spans="1:14" x14ac:dyDescent="0.25">
      <c r="A53" s="15"/>
      <c r="B53" s="15"/>
      <c r="C53" s="15"/>
      <c r="D53" s="15"/>
      <c r="E53" s="15"/>
      <c r="F53" s="15"/>
      <c r="I53" s="7" t="s">
        <v>45</v>
      </c>
      <c r="L53" s="1">
        <v>0.3</v>
      </c>
      <c r="M53" s="1" t="s">
        <v>44</v>
      </c>
      <c r="N53" s="6" t="s">
        <v>46</v>
      </c>
    </row>
    <row r="54" spans="1:14" x14ac:dyDescent="0.25">
      <c r="A54" s="15"/>
      <c r="B54" s="15"/>
      <c r="C54" s="15"/>
      <c r="D54" s="15"/>
      <c r="E54" s="15"/>
      <c r="F54" s="15"/>
      <c r="I54" s="7" t="s">
        <v>47</v>
      </c>
      <c r="J54" s="1">
        <v>2.5</v>
      </c>
      <c r="K54" s="1" t="s">
        <v>5</v>
      </c>
      <c r="L54" s="1">
        <f>IFERROR(J54*0.0254,0)</f>
        <v>6.3500000000000001E-2</v>
      </c>
      <c r="M54" s="1" t="s">
        <v>43</v>
      </c>
      <c r="N54" s="1" t="s">
        <v>59</v>
      </c>
    </row>
    <row r="55" spans="1:14" x14ac:dyDescent="0.25">
      <c r="A55" s="15"/>
      <c r="B55" s="15"/>
      <c r="C55" s="15"/>
      <c r="D55" s="15"/>
      <c r="E55" s="15"/>
      <c r="F55" s="15"/>
      <c r="I55" s="7" t="s">
        <v>54</v>
      </c>
      <c r="L55" s="4">
        <f>L53/L54</f>
        <v>4.7244094488188972</v>
      </c>
      <c r="M55" s="4" t="s">
        <v>42</v>
      </c>
    </row>
    <row r="56" spans="1:14" x14ac:dyDescent="0.25">
      <c r="A56" s="15"/>
      <c r="B56" s="15"/>
      <c r="C56" s="15"/>
      <c r="D56" s="15"/>
      <c r="E56" s="15"/>
      <c r="F56" s="15"/>
      <c r="I56" s="7" t="s">
        <v>48</v>
      </c>
      <c r="J56" s="4">
        <f>B$4</f>
        <v>3.05</v>
      </c>
      <c r="K56" s="4" t="s">
        <v>5</v>
      </c>
      <c r="L56" s="4">
        <f>IFERROR(J56*0.0254,0)</f>
        <v>7.7469999999999997E-2</v>
      </c>
      <c r="M56" s="4" t="s">
        <v>43</v>
      </c>
    </row>
    <row r="57" spans="1:14" x14ac:dyDescent="0.25">
      <c r="A57" s="15"/>
      <c r="B57" s="15"/>
      <c r="C57" s="15"/>
      <c r="D57" s="15"/>
      <c r="E57" s="15"/>
      <c r="F57" s="15"/>
      <c r="I57" s="7" t="s">
        <v>49</v>
      </c>
      <c r="J57" s="1">
        <v>2.5000000000000001E-2</v>
      </c>
      <c r="K57" s="1" t="s">
        <v>5</v>
      </c>
      <c r="L57" s="1">
        <f>IFERROR(J57*0.0254,0)</f>
        <v>6.3500000000000004E-4</v>
      </c>
      <c r="M57" s="1" t="s">
        <v>43</v>
      </c>
      <c r="N57" s="1" t="s">
        <v>60</v>
      </c>
    </row>
    <row r="58" spans="1:14" x14ac:dyDescent="0.25">
      <c r="A58" s="15"/>
      <c r="B58" s="15"/>
      <c r="C58" s="15"/>
      <c r="D58" s="15"/>
      <c r="E58" s="15"/>
      <c r="F58" s="15"/>
      <c r="I58" s="7" t="s">
        <v>53</v>
      </c>
      <c r="J58" s="4">
        <f>IFERROR(L58/0.0254,0)</f>
        <v>2.4500000000000002</v>
      </c>
      <c r="K58" s="4" t="s">
        <v>5</v>
      </c>
      <c r="L58" s="4">
        <f>L54-2*L57</f>
        <v>6.2230000000000001E-2</v>
      </c>
      <c r="M58" s="4" t="s">
        <v>43</v>
      </c>
    </row>
    <row r="59" spans="1:14" x14ac:dyDescent="0.25">
      <c r="A59" s="15"/>
      <c r="B59" s="15"/>
      <c r="C59" s="15"/>
      <c r="D59" s="15"/>
      <c r="E59" s="15"/>
      <c r="F59" s="15"/>
      <c r="I59" s="26" t="s">
        <v>50</v>
      </c>
      <c r="J59" s="13">
        <f>(PI()/32)*(J54^4-J58^4)</f>
        <v>0.29771437772052872</v>
      </c>
      <c r="K59" s="13" t="s">
        <v>52</v>
      </c>
      <c r="L59" s="13">
        <f>(PI()/32)*(L54^4-L58^4)</f>
        <v>1.2391807986023298E-7</v>
      </c>
      <c r="M59" s="13" t="s">
        <v>51</v>
      </c>
    </row>
    <row r="60" spans="1:14" x14ac:dyDescent="0.25">
      <c r="A60" s="15"/>
      <c r="B60" s="15"/>
      <c r="C60" s="15"/>
      <c r="D60" s="15"/>
      <c r="E60" s="15"/>
      <c r="F60" s="15"/>
      <c r="I60" s="7" t="s">
        <v>86</v>
      </c>
      <c r="L60" s="1">
        <f>24000000000</f>
        <v>24000000000</v>
      </c>
      <c r="M60" s="1" t="s">
        <v>67</v>
      </c>
    </row>
    <row r="61" spans="1:14" x14ac:dyDescent="0.25">
      <c r="A61" s="15"/>
      <c r="B61" s="15"/>
      <c r="C61" s="15"/>
      <c r="D61" s="15"/>
      <c r="E61" s="15"/>
      <c r="F61" s="15"/>
      <c r="I61" s="7" t="s">
        <v>55</v>
      </c>
      <c r="J61" s="4">
        <f>DEGREES(L61)</f>
        <v>4.4774580552378785E-4</v>
      </c>
      <c r="K61" s="4" t="s">
        <v>32</v>
      </c>
      <c r="L61" s="4">
        <f>L$53*L$56/(L$59*L60)</f>
        <v>7.8146385183843114E-6</v>
      </c>
      <c r="M61" s="4" t="s">
        <v>33</v>
      </c>
    </row>
    <row r="62" spans="1:14" x14ac:dyDescent="0.25">
      <c r="A62" s="15"/>
      <c r="B62" s="15"/>
      <c r="C62" s="15"/>
      <c r="D62" s="15"/>
      <c r="E62" s="15"/>
      <c r="F62" s="15"/>
      <c r="I62" s="12" t="s">
        <v>57</v>
      </c>
      <c r="J62" s="13">
        <f>DEGREES(L62)</f>
        <v>2.2387290276189393E-3</v>
      </c>
      <c r="K62" s="13" t="s">
        <v>32</v>
      </c>
      <c r="L62" s="13">
        <f>L61*B$11</f>
        <v>3.907319259192156E-5</v>
      </c>
      <c r="M62" s="13" t="s">
        <v>33</v>
      </c>
    </row>
    <row r="63" spans="1:14" x14ac:dyDescent="0.25">
      <c r="A63" s="15"/>
      <c r="B63" s="15"/>
      <c r="C63" s="15"/>
      <c r="D63" s="15"/>
      <c r="E63" s="15"/>
      <c r="F63" s="15"/>
      <c r="I63" s="7" t="s">
        <v>87</v>
      </c>
      <c r="L63" s="1">
        <f>78000000000</f>
        <v>78000000000</v>
      </c>
      <c r="M63" s="1" t="s">
        <v>67</v>
      </c>
    </row>
    <row r="64" spans="1:14" x14ac:dyDescent="0.25">
      <c r="A64" s="15"/>
      <c r="B64" s="15"/>
      <c r="C64" s="15"/>
      <c r="D64" s="15"/>
      <c r="E64" s="15"/>
      <c r="F64" s="15"/>
      <c r="I64" s="7" t="s">
        <v>56</v>
      </c>
      <c r="J64" s="4">
        <f>DEGREES(L64)</f>
        <v>1.3776794016116548E-4</v>
      </c>
      <c r="K64" s="4" t="s">
        <v>32</v>
      </c>
      <c r="L64" s="4">
        <f>L$53*L$56/(L$59*L63)</f>
        <v>2.4045041595028652E-6</v>
      </c>
      <c r="M64" s="4" t="s">
        <v>33</v>
      </c>
    </row>
    <row r="65" spans="9:14" x14ac:dyDescent="0.25">
      <c r="I65" s="3" t="s">
        <v>58</v>
      </c>
      <c r="J65" s="4">
        <f>DEGREES(L65)</f>
        <v>6.8883970080582744E-4</v>
      </c>
      <c r="K65" s="4" t="s">
        <v>32</v>
      </c>
      <c r="L65" s="4">
        <f>L64*B$11</f>
        <v>1.2022520797514326E-5</v>
      </c>
      <c r="M65" s="4" t="s">
        <v>33</v>
      </c>
    </row>
    <row r="66" spans="9:14" x14ac:dyDescent="0.25">
      <c r="I66" s="31"/>
      <c r="J66" s="31"/>
      <c r="K66" s="31"/>
      <c r="L66" s="31"/>
      <c r="M66" s="31"/>
    </row>
    <row r="67" spans="9:14" x14ac:dyDescent="0.25">
      <c r="I67" s="27" t="s">
        <v>61</v>
      </c>
      <c r="J67" s="29">
        <v>5.0000000000000001E-3</v>
      </c>
      <c r="K67" s="28" t="s">
        <v>5</v>
      </c>
      <c r="L67" s="28">
        <f>IFERROR(J67*0.0254,0)</f>
        <v>1.27E-4</v>
      </c>
      <c r="M67" s="28" t="s">
        <v>43</v>
      </c>
      <c r="N67" s="1" t="s">
        <v>125</v>
      </c>
    </row>
    <row r="68" spans="9:14" x14ac:dyDescent="0.25">
      <c r="I68" s="27" t="s">
        <v>62</v>
      </c>
      <c r="J68" s="30">
        <f>DEGREES(L68)</f>
        <v>0.2291831180523293</v>
      </c>
      <c r="K68" s="30" t="s">
        <v>32</v>
      </c>
      <c r="L68" s="30">
        <f>2*PI()*L67/(PI()*L54)</f>
        <v>4.0000000000000001E-3</v>
      </c>
      <c r="M68" s="30" t="s">
        <v>33</v>
      </c>
      <c r="N68" s="1" t="s">
        <v>126</v>
      </c>
    </row>
    <row r="69" spans="9:14" x14ac:dyDescent="0.25">
      <c r="I69" s="12" t="s">
        <v>63</v>
      </c>
      <c r="J69" s="13">
        <f>DEGREES(L69)</f>
        <v>0.9167324722093172</v>
      </c>
      <c r="K69" s="13" t="s">
        <v>32</v>
      </c>
      <c r="L69" s="13">
        <f>L68*J$13</f>
        <v>1.6E-2</v>
      </c>
      <c r="M69" s="13" t="s">
        <v>33</v>
      </c>
    </row>
    <row r="71" spans="9:14" x14ac:dyDescent="0.25">
      <c r="I71" s="3" t="s">
        <v>64</v>
      </c>
      <c r="J71" s="5">
        <f>DEGREES(L71)</f>
        <v>0.91897120123693621</v>
      </c>
      <c r="K71" s="5" t="s">
        <v>32</v>
      </c>
      <c r="L71" s="5">
        <f>L62+L$69</f>
        <v>1.6039073192591922E-2</v>
      </c>
      <c r="M71" s="5" t="s">
        <v>33</v>
      </c>
    </row>
    <row r="72" spans="9:14" x14ac:dyDescent="0.25">
      <c r="I72" s="3" t="s">
        <v>65</v>
      </c>
      <c r="J72" s="5">
        <f>DEGREES(L72)</f>
        <v>0.91742131191012299</v>
      </c>
      <c r="K72" s="5" t="s">
        <v>32</v>
      </c>
      <c r="L72" s="5">
        <f>L65+L$69</f>
        <v>1.6012022520797514E-2</v>
      </c>
      <c r="M72" s="5" t="s">
        <v>33</v>
      </c>
    </row>
  </sheetData>
  <mergeCells count="3">
    <mergeCell ref="I3:T3"/>
    <mergeCell ref="Q10:U10"/>
    <mergeCell ref="V10:Z10"/>
  </mergeCells>
  <pageMargins left="0.7" right="0.7" top="0.75" bottom="0.75" header="0.3" footer="0.3"/>
  <pageSetup scale="38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PG</cp:lastModifiedBy>
  <cp:lastPrinted>2016-03-11T14:58:45Z</cp:lastPrinted>
  <dcterms:created xsi:type="dcterms:W3CDTF">2016-03-05T18:59:22Z</dcterms:created>
  <dcterms:modified xsi:type="dcterms:W3CDTF">2016-03-13T02:35:31Z</dcterms:modified>
</cp:coreProperties>
</file>